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" yWindow="120" windowWidth="5916" windowHeight="6792" activeTab="1"/>
  </bookViews>
  <sheets>
    <sheet name="Graph1" sheetId="1" r:id="rId1"/>
    <sheet name="Feuil1" sheetId="2" r:id="rId2"/>
    <sheet name="Graph2" sheetId="3" r:id="rId3"/>
  </sheets>
  <calcPr calcId="145621"/>
</workbook>
</file>

<file path=xl/calcChain.xml><?xml version="1.0" encoding="utf-8"?>
<calcChain xmlns="http://schemas.openxmlformats.org/spreadsheetml/2006/main">
  <c r="G5" i="2" l="1"/>
  <c r="C8" i="2"/>
  <c r="G8" i="2"/>
  <c r="E11" i="2"/>
  <c r="F11" i="2"/>
  <c r="G11" i="2"/>
  <c r="H11" i="2"/>
  <c r="I11" i="2"/>
  <c r="J11" i="2"/>
  <c r="K11" i="2"/>
  <c r="L11" i="2"/>
  <c r="E12" i="2"/>
  <c r="F12" i="2"/>
  <c r="G12" i="2"/>
  <c r="H12" i="2"/>
  <c r="I12" i="2"/>
  <c r="J12" i="2"/>
  <c r="K12" i="2"/>
  <c r="L12" i="2"/>
  <c r="E13" i="2"/>
  <c r="F13" i="2"/>
  <c r="G13" i="2"/>
  <c r="H13" i="2"/>
  <c r="I13" i="2"/>
  <c r="J13" i="2"/>
  <c r="K13" i="2"/>
  <c r="L13" i="2"/>
  <c r="F24" i="2"/>
  <c r="G24" i="2" s="1"/>
  <c r="E26" i="2"/>
  <c r="E27" i="2" s="1"/>
  <c r="E28" i="2" s="1"/>
  <c r="F26" i="2"/>
  <c r="F27" i="2"/>
  <c r="F28" i="2"/>
  <c r="F29" i="2"/>
  <c r="F30" i="2"/>
  <c r="C36" i="2"/>
  <c r="C37" i="2"/>
  <c r="G26" i="2" l="1"/>
  <c r="G27" i="2" s="1"/>
  <c r="G28" i="2" s="1"/>
  <c r="H24" i="2"/>
  <c r="E30" i="2"/>
  <c r="E31" i="2" s="1"/>
  <c r="E29" i="2"/>
  <c r="F31" i="2" l="1"/>
  <c r="H26" i="2"/>
  <c r="H27" i="2" s="1"/>
  <c r="H28" i="2" s="1"/>
  <c r="I24" i="2"/>
  <c r="G29" i="2"/>
  <c r="G30" i="2"/>
  <c r="H29" i="2" l="1"/>
  <c r="H30" i="2"/>
  <c r="J24" i="2"/>
  <c r="I26" i="2"/>
  <c r="I27" i="2" s="1"/>
  <c r="I28" i="2" s="1"/>
  <c r="G31" i="2"/>
  <c r="I30" i="2" l="1"/>
  <c r="I29" i="2"/>
  <c r="J26" i="2"/>
  <c r="J27" i="2" s="1"/>
  <c r="J28" i="2" s="1"/>
  <c r="K24" i="2"/>
  <c r="H31" i="2"/>
  <c r="I31" i="2" s="1"/>
  <c r="K26" i="2" l="1"/>
  <c r="K27" i="2" s="1"/>
  <c r="K28" i="2" s="1"/>
  <c r="L24" i="2"/>
  <c r="L26" i="2" s="1"/>
  <c r="L27" i="2" s="1"/>
  <c r="L28" i="2" s="1"/>
  <c r="J29" i="2"/>
  <c r="J30" i="2"/>
  <c r="J31" i="2" s="1"/>
  <c r="L29" i="2" l="1"/>
  <c r="L30" i="2"/>
  <c r="K29" i="2"/>
  <c r="K30" i="2"/>
  <c r="K31" i="2" s="1"/>
  <c r="L31" i="2" l="1"/>
  <c r="C39" i="2"/>
  <c r="C38" i="2"/>
  <c r="C40" i="2" l="1"/>
  <c r="C42" i="2" l="1"/>
  <c r="D42" i="2"/>
  <c r="D43" i="2" s="1"/>
  <c r="C41" i="2"/>
  <c r="F42" i="2" s="1"/>
  <c r="F43" i="2" s="1"/>
  <c r="F45" i="2" s="1"/>
  <c r="E42" i="2" l="1"/>
  <c r="E43" i="2" s="1"/>
  <c r="E45" i="2" s="1"/>
  <c r="I42" i="2"/>
  <c r="I43" i="2" s="1"/>
  <c r="I45" i="2" s="1"/>
  <c r="L42" i="2"/>
  <c r="L43" i="2" s="1"/>
  <c r="L45" i="2" s="1"/>
  <c r="K42" i="2"/>
  <c r="K43" i="2" s="1"/>
  <c r="K45" i="2" s="1"/>
  <c r="J42" i="2"/>
  <c r="J43" i="2" s="1"/>
  <c r="J45" i="2" s="1"/>
  <c r="H42" i="2"/>
  <c r="H43" i="2" s="1"/>
  <c r="H45" i="2" s="1"/>
  <c r="G42" i="2"/>
  <c r="G43" i="2" s="1"/>
  <c r="G45" i="2" s="1"/>
  <c r="M45" i="2" l="1"/>
  <c r="C46" i="2"/>
  <c r="K4" i="2" s="1"/>
  <c r="N43" i="2" l="1"/>
  <c r="N45" i="2" l="1"/>
  <c r="N47" i="2" s="1"/>
</calcChain>
</file>

<file path=xl/sharedStrings.xml><?xml version="1.0" encoding="utf-8"?>
<sst xmlns="http://schemas.openxmlformats.org/spreadsheetml/2006/main" count="45" uniqueCount="39">
  <si>
    <t>rayon de courbure</t>
  </si>
  <si>
    <t>diametre du miroir</t>
  </si>
  <si>
    <t>ro  (µm)</t>
  </si>
  <si>
    <t>Zone</t>
  </si>
  <si>
    <t>hx</t>
  </si>
  <si>
    <t>hm</t>
  </si>
  <si>
    <t>hm/4f</t>
  </si>
  <si>
    <t>mesures diam1</t>
  </si>
  <si>
    <t>mesures diam2</t>
  </si>
  <si>
    <t>constante</t>
  </si>
  <si>
    <t>moy-constante</t>
  </si>
  <si>
    <t>lambdaC</t>
  </si>
  <si>
    <t>lambadf*103</t>
  </si>
  <si>
    <t>lambdaf/ro</t>
  </si>
  <si>
    <t>u</t>
  </si>
  <si>
    <t>yo</t>
  </si>
  <si>
    <t>premier point contact</t>
  </si>
  <si>
    <t>deuxieme point contact</t>
  </si>
  <si>
    <t>x1*x1</t>
  </si>
  <si>
    <t>x2*x2</t>
  </si>
  <si>
    <t>y1</t>
  </si>
  <si>
    <t>y2</t>
  </si>
  <si>
    <t>a</t>
  </si>
  <si>
    <t>b</t>
  </si>
  <si>
    <t>parabole</t>
  </si>
  <si>
    <t>epsilon</t>
  </si>
  <si>
    <t>Date</t>
  </si>
  <si>
    <t>Deformation:</t>
  </si>
  <si>
    <t>focale</t>
  </si>
  <si>
    <t>f/D</t>
  </si>
  <si>
    <t>diametre optique</t>
  </si>
  <si>
    <t xml:space="preserve"> precision: lambda /</t>
  </si>
  <si>
    <t>(sur l'onde)</t>
  </si>
  <si>
    <t>bhm2/R</t>
  </si>
  <si>
    <t xml:space="preserve">diametre percage </t>
  </si>
  <si>
    <t>(parabole)</t>
  </si>
  <si>
    <t>precision sur l'onde</t>
  </si>
  <si>
    <t>Miroir 300mm Verre Tvalise2</t>
  </si>
  <si>
    <t>lambda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</si>
</sst>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/>
    <xf numFmtId="0" fontId="0" fillId="0" borderId="1" xfId="0" applyBorder="1"/>
    <xf numFmtId="0" fontId="1" fillId="0" borderId="0" xfId="0" applyFont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/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Border="1"/>
    <xf numFmtId="0" fontId="1" fillId="0" borderId="4" xfId="0" applyFont="1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7" xfId="0" applyBorder="1"/>
    <xf numFmtId="0" fontId="1" fillId="0" borderId="7" xfId="0" applyFont="1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Bulletin de contrôle</a:t>
            </a:r>
          </a:p>
        </c:rich>
      </c:tx>
      <c:layout>
        <c:manualLayout>
          <c:xMode val="edge"/>
          <c:yMode val="edge"/>
          <c:x val="0.43703085904920763"/>
          <c:y val="2.702774501365466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02557686961355"/>
          <c:y val="0.12831457808664606"/>
          <c:w val="0.73811509591326097"/>
          <c:h val="0.847297297297297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Feuil1!$C$10:$L$10</c:f>
              <c:numCache>
                <c:formatCode>General</c:formatCode>
                <c:ptCount val="10"/>
                <c:pt idx="0">
                  <c:v>0</c:v>
                </c:pt>
                <c:pt idx="1">
                  <c:v>20.93</c:v>
                </c:pt>
                <c:pt idx="2">
                  <c:v>55.8688</c:v>
                </c:pt>
                <c:pt idx="3">
                  <c:v>76.187700000000007</c:v>
                </c:pt>
                <c:pt idx="4">
                  <c:v>92.129300000000001</c:v>
                </c:pt>
                <c:pt idx="5">
                  <c:v>105.6931</c:v>
                </c:pt>
                <c:pt idx="6">
                  <c:v>117.7042</c:v>
                </c:pt>
                <c:pt idx="7">
                  <c:v>128.59829999999999</c:v>
                </c:pt>
                <c:pt idx="8">
                  <c:v>138.63900000000001</c:v>
                </c:pt>
                <c:pt idx="9">
                  <c:v>148</c:v>
                </c:pt>
              </c:numCache>
            </c:numRef>
          </c:xVal>
          <c:yVal>
            <c:numRef>
              <c:f>Feuil1!$C$31:$L$31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56.455192138927742</c:v>
                </c:pt>
                <c:pt idx="3">
                  <c:v>53.135482586002631</c:v>
                </c:pt>
                <c:pt idx="4">
                  <c:v>57.82970088535248</c:v>
                </c:pt>
                <c:pt idx="5">
                  <c:v>73.106341192551184</c:v>
                </c:pt>
                <c:pt idx="6">
                  <c:v>95.566555815004108</c:v>
                </c:pt>
                <c:pt idx="7">
                  <c:v>109.26166560248001</c:v>
                </c:pt>
                <c:pt idx="8">
                  <c:v>133.794687096649</c:v>
                </c:pt>
                <c:pt idx="9">
                  <c:v>111.28402215086149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Feuil1!$C$10:$L$10</c:f>
              <c:numCache>
                <c:formatCode>General</c:formatCode>
                <c:ptCount val="10"/>
                <c:pt idx="0">
                  <c:v>0</c:v>
                </c:pt>
                <c:pt idx="1">
                  <c:v>20.93</c:v>
                </c:pt>
                <c:pt idx="2">
                  <c:v>55.8688</c:v>
                </c:pt>
                <c:pt idx="3">
                  <c:v>76.187700000000007</c:v>
                </c:pt>
                <c:pt idx="4">
                  <c:v>92.129300000000001</c:v>
                </c:pt>
                <c:pt idx="5">
                  <c:v>105.6931</c:v>
                </c:pt>
                <c:pt idx="6">
                  <c:v>117.7042</c:v>
                </c:pt>
                <c:pt idx="7">
                  <c:v>128.59829999999999</c:v>
                </c:pt>
                <c:pt idx="8">
                  <c:v>138.63900000000001</c:v>
                </c:pt>
                <c:pt idx="9">
                  <c:v>148</c:v>
                </c:pt>
              </c:numCache>
            </c:numRef>
          </c:xVal>
          <c:yVal>
            <c:numRef>
              <c:f>Feuil1!$C$42:$L$42</c:f>
              <c:numCache>
                <c:formatCode>General</c:formatCode>
                <c:ptCount val="10"/>
                <c:pt idx="0">
                  <c:v>41.460795598964964</c:v>
                </c:pt>
                <c:pt idx="1">
                  <c:v>43.565197871154169</c:v>
                </c:pt>
                <c:pt idx="2">
                  <c:v>56.455192138927742</c:v>
                </c:pt>
                <c:pt idx="3">
                  <c:v>69.345113889606495</c:v>
                </c:pt>
                <c:pt idx="4">
                  <c:v>82.235033091117131</c:v>
                </c:pt>
                <c:pt idx="5">
                  <c:v>95.124861893213648</c:v>
                </c:pt>
                <c:pt idx="6">
                  <c:v>108.01480522369438</c:v>
                </c:pt>
                <c:pt idx="7">
                  <c:v>120.90473296670757</c:v>
                </c:pt>
                <c:pt idx="8">
                  <c:v>133.794687096649</c:v>
                </c:pt>
                <c:pt idx="9">
                  <c:v>146.68453612241791</c:v>
                </c:pt>
              </c:numCache>
            </c:numRef>
          </c:yVal>
          <c:smooth val="1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Feuil1!$C$10:$L$10</c:f>
              <c:numCache>
                <c:formatCode>General</c:formatCode>
                <c:ptCount val="10"/>
                <c:pt idx="0">
                  <c:v>0</c:v>
                </c:pt>
                <c:pt idx="1">
                  <c:v>20.93</c:v>
                </c:pt>
                <c:pt idx="2">
                  <c:v>55.8688</c:v>
                </c:pt>
                <c:pt idx="3">
                  <c:v>76.187700000000007</c:v>
                </c:pt>
                <c:pt idx="4">
                  <c:v>92.129300000000001</c:v>
                </c:pt>
                <c:pt idx="5">
                  <c:v>105.6931</c:v>
                </c:pt>
                <c:pt idx="6">
                  <c:v>117.7042</c:v>
                </c:pt>
                <c:pt idx="7">
                  <c:v>128.59829999999999</c:v>
                </c:pt>
                <c:pt idx="8">
                  <c:v>138.63900000000001</c:v>
                </c:pt>
                <c:pt idx="9">
                  <c:v>148</c:v>
                </c:pt>
              </c:numCache>
            </c:numRef>
          </c:xVal>
          <c:yVal>
            <c:numRef>
              <c:f>Feuil1!$C$46</c:f>
              <c:numCache>
                <c:formatCode>General</c:formatCode>
                <c:ptCount val="1"/>
                <c:pt idx="0">
                  <c:v>12.85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Feuil1!$C$10:$L$10</c:f>
              <c:numCache>
                <c:formatCode>General</c:formatCode>
                <c:ptCount val="10"/>
                <c:pt idx="0">
                  <c:v>0</c:v>
                </c:pt>
                <c:pt idx="1">
                  <c:v>20.93</c:v>
                </c:pt>
                <c:pt idx="2">
                  <c:v>55.8688</c:v>
                </c:pt>
                <c:pt idx="3">
                  <c:v>76.187700000000007</c:v>
                </c:pt>
                <c:pt idx="4">
                  <c:v>92.129300000000001</c:v>
                </c:pt>
                <c:pt idx="5">
                  <c:v>105.6931</c:v>
                </c:pt>
                <c:pt idx="6">
                  <c:v>117.7042</c:v>
                </c:pt>
                <c:pt idx="7">
                  <c:v>128.59829999999999</c:v>
                </c:pt>
                <c:pt idx="8">
                  <c:v>138.63900000000001</c:v>
                </c:pt>
                <c:pt idx="9">
                  <c:v>148</c:v>
                </c:pt>
              </c:numCache>
            </c:numRef>
          </c:xVal>
          <c:yVal>
            <c:numRef>
              <c:f>Feuil1!$C$46</c:f>
              <c:numCache>
                <c:formatCode>General</c:formatCode>
                <c:ptCount val="1"/>
                <c:pt idx="0">
                  <c:v>12.85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363328"/>
        <c:axId val="253812736"/>
      </c:scatterChart>
      <c:valAx>
        <c:axId val="253363328"/>
        <c:scaling>
          <c:orientation val="minMax"/>
          <c:max val="155"/>
          <c:min val="0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mm</a:t>
                </a:r>
              </a:p>
            </c:rich>
          </c:tx>
          <c:layout>
            <c:manualLayout>
              <c:xMode val="edge"/>
              <c:yMode val="edge"/>
              <c:x val="0.45537948290241875"/>
              <c:y val="0.932468891793383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53812736"/>
        <c:crosses val="autoZero"/>
        <c:crossBetween val="midCat"/>
        <c:majorUnit val="25"/>
        <c:minorUnit val="5"/>
      </c:valAx>
      <c:valAx>
        <c:axId val="25381273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millieme de  micron</a:t>
                </a:r>
              </a:p>
            </c:rich>
          </c:tx>
          <c:layout>
            <c:manualLayout>
              <c:xMode val="edge"/>
              <c:yMode val="edge"/>
              <c:x val="1.0842368640533779E-2"/>
              <c:y val="0.42297296339981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533633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Lambdaf / ro </a:t>
            </a:r>
          </a:p>
        </c:rich>
      </c:tx>
      <c:layout>
        <c:manualLayout>
          <c:xMode val="edge"/>
          <c:yMode val="edge"/>
          <c:x val="0.42285237698081735"/>
          <c:y val="4.32433294016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063386155129"/>
          <c:y val="0.12837837837837837"/>
          <c:w val="0.74145120934111752"/>
          <c:h val="0.7864864864864864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Feuil1!$E$11:$L$11</c:f>
              <c:numCache>
                <c:formatCode>General</c:formatCode>
                <c:ptCount val="8"/>
                <c:pt idx="0">
                  <c:v>38.3994</c:v>
                </c:pt>
                <c:pt idx="1">
                  <c:v>66.02825</c:v>
                </c:pt>
                <c:pt idx="2">
                  <c:v>84.158500000000004</c:v>
                </c:pt>
                <c:pt idx="3">
                  <c:v>98.911200000000008</c:v>
                </c:pt>
                <c:pt idx="4">
                  <c:v>111.69865</c:v>
                </c:pt>
                <c:pt idx="5">
                  <c:v>123.15125</c:v>
                </c:pt>
                <c:pt idx="6">
                  <c:v>133.61865</c:v>
                </c:pt>
                <c:pt idx="7">
                  <c:v>143.31950000000001</c:v>
                </c:pt>
              </c:numCache>
            </c:numRef>
          </c:xVal>
          <c:yVal>
            <c:numRef>
              <c:f>Feuil1!$E$29:$L$29</c:f>
              <c:numCache>
                <c:formatCode>General</c:formatCode>
                <c:ptCount val="8"/>
                <c:pt idx="0">
                  <c:v>-0.69770215338695019</c:v>
                </c:pt>
                <c:pt idx="1">
                  <c:v>7.0546269570177442E-2</c:v>
                </c:pt>
                <c:pt idx="2">
                  <c:v>-0.12714682874438846</c:v>
                </c:pt>
                <c:pt idx="3">
                  <c:v>-0.48631832440891998</c:v>
                </c:pt>
                <c:pt idx="4">
                  <c:v>-0.80743073605680538</c:v>
                </c:pt>
                <c:pt idx="5">
                  <c:v>-0.54281059875971116</c:v>
                </c:pt>
                <c:pt idx="6">
                  <c:v>-1.0550212480607681</c:v>
                </c:pt>
                <c:pt idx="7">
                  <c:v>1.038341559462181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051520"/>
        <c:axId val="272700544"/>
      </c:scatterChart>
      <c:valAx>
        <c:axId val="263051520"/>
        <c:scaling>
          <c:orientation val="minMax"/>
          <c:max val="152"/>
          <c:min val="0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72700544"/>
        <c:crosses val="autoZero"/>
        <c:crossBetween val="midCat"/>
        <c:majorUnit val="20"/>
        <c:minorUnit val="5"/>
      </c:valAx>
      <c:valAx>
        <c:axId val="272700544"/>
        <c:scaling>
          <c:orientation val="minMax"/>
          <c:max val="3"/>
          <c:min val="-3"/>
        </c:scaling>
        <c:delete val="0"/>
        <c:axPos val="l"/>
        <c:title>
          <c:layout>
            <c:manualLayout>
              <c:xMode val="edge"/>
              <c:yMode val="edge"/>
              <c:x val="5.8381984987489574E-2"/>
              <c:y val="0.4499999999999999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63051520"/>
        <c:crosses val="autoZero"/>
        <c:crossBetween val="midCat"/>
      </c:valAx>
      <c:spPr>
        <a:noFill/>
        <a:ln w="254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4642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0.26404</cdr:x>
      <cdr:y>0.1135</cdr:y>
    </cdr:from>
    <cdr:to>
      <cdr:x>0.26479</cdr:x>
      <cdr:y>1</cdr:y>
    </cdr:to>
    <cdr:sp macro="" textlink="">
      <cdr:nvSpPr>
        <cdr:cNvPr id="10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412366" y="632399"/>
          <a:ext cx="6853" cy="501402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0.42937</cdr:x>
      <cdr:y>0.0688</cdr:y>
    </cdr:from>
    <cdr:to>
      <cdr:x>0.42937</cdr:x>
      <cdr:y>0.97355</cdr:y>
    </cdr:to>
    <cdr:sp macro="" textlink="">
      <cdr:nvSpPr>
        <cdr:cNvPr id="102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922887" y="388482"/>
          <a:ext cx="0" cy="51085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0.5267</cdr:x>
      <cdr:y>0.0849</cdr:y>
    </cdr:from>
    <cdr:to>
      <cdr:x>0.5267</cdr:x>
      <cdr:y>0.98015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12125" y="473751"/>
          <a:ext cx="0" cy="5060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0.6012</cdr:x>
      <cdr:y>0.07775</cdr:y>
    </cdr:from>
    <cdr:to>
      <cdr:x>0.6027</cdr:x>
      <cdr:y>0.97</cdr:y>
    </cdr:to>
    <cdr:sp macro="" textlink="">
      <cdr:nvSpPr>
        <cdr:cNvPr id="102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2786" y="433376"/>
          <a:ext cx="13704" cy="50436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0.6672</cdr:x>
      <cdr:y>0.09604</cdr:y>
    </cdr:from>
    <cdr:to>
      <cdr:x>0.6672</cdr:x>
      <cdr:y>0.98829</cdr:y>
    </cdr:to>
    <cdr:sp macro="" textlink="">
      <cdr:nvSpPr>
        <cdr:cNvPr id="102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95806" y="535246"/>
          <a:ext cx="0" cy="50450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0.7222</cdr:x>
      <cdr:y>0.0942</cdr:y>
    </cdr:from>
    <cdr:to>
      <cdr:x>0.7252</cdr:x>
      <cdr:y>0.9857</cdr:y>
    </cdr:to>
    <cdr:sp macro="" textlink="">
      <cdr:nvSpPr>
        <cdr:cNvPr id="103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598276" y="531895"/>
          <a:ext cx="27409" cy="50337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0.8232</cdr:x>
      <cdr:y>0.05545</cdr:y>
    </cdr:from>
    <cdr:to>
      <cdr:x>0.8247</cdr:x>
      <cdr:y>0.9627</cdr:y>
    </cdr:to>
    <cdr:sp macro="" textlink="">
      <cdr:nvSpPr>
        <cdr:cNvPr id="1034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1062" y="313089"/>
          <a:ext cx="13704" cy="51227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0.77428</cdr:x>
      <cdr:y>0.07555</cdr:y>
    </cdr:from>
    <cdr:to>
      <cdr:x>0.77728</cdr:x>
      <cdr:y>0.97305</cdr:y>
    </cdr:to>
    <cdr:sp macro="" textlink="">
      <cdr:nvSpPr>
        <cdr:cNvPr id="1035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074128" y="420933"/>
          <a:ext cx="27409" cy="50733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0.8707</cdr:x>
      <cdr:y>0.0811</cdr:y>
    </cdr:from>
    <cdr:to>
      <cdr:x>0.8707</cdr:x>
      <cdr:y>0.9856</cdr:y>
    </cdr:to>
    <cdr:sp macro="" textlink="">
      <cdr:nvSpPr>
        <cdr:cNvPr id="1036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955028" y="457909"/>
          <a:ext cx="0" cy="510718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0.30775</cdr:x>
      <cdr:y>0.35442</cdr:y>
    </cdr:from>
    <cdr:to>
      <cdr:x>0.30799</cdr:x>
      <cdr:y>0.97301</cdr:y>
    </cdr:to>
    <cdr:sp macro="" textlink="">
      <cdr:nvSpPr>
        <cdr:cNvPr id="1037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11736" y="2001191"/>
          <a:ext cx="2193" cy="34928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4642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0.84375</cdr:x>
      <cdr:y>0.127</cdr:y>
    </cdr:from>
    <cdr:to>
      <cdr:x>0.84525</cdr:x>
      <cdr:y>0.91125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08821" y="709079"/>
          <a:ext cx="13704" cy="443068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0.37375</cdr:x>
      <cdr:y>0.12825</cdr:y>
    </cdr:from>
    <cdr:to>
      <cdr:x>0.3745</cdr:x>
      <cdr:y>0.91225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14722" y="716128"/>
          <a:ext cx="6852" cy="44292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0.55175</cdr:x>
      <cdr:y>0.13175</cdr:y>
    </cdr:from>
    <cdr:to>
      <cdr:x>0.55175</cdr:x>
      <cdr:y>0.91575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040998" y="735863"/>
          <a:ext cx="0" cy="44292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0.68575</cdr:x>
      <cdr:y>0.1295</cdr:y>
    </cdr:from>
    <cdr:to>
      <cdr:x>0.68575</cdr:x>
      <cdr:y>0.913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65273" y="723176"/>
          <a:ext cx="0" cy="44264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0.7725</cdr:x>
      <cdr:y>0.131</cdr:y>
    </cdr:from>
    <cdr:to>
      <cdr:x>0.7725</cdr:x>
      <cdr:y>0.913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057854" y="731634"/>
          <a:ext cx="0" cy="441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0.226</cdr:x>
      <cdr:y>0.1245</cdr:y>
    </cdr:from>
    <cdr:to>
      <cdr:x>0.226</cdr:x>
      <cdr:y>0.9105</cdr:y>
    </cdr:to>
    <cdr:sp macro="" textlink="">
      <cdr:nvSpPr>
        <cdr:cNvPr id="205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64822" y="694982"/>
          <a:ext cx="0" cy="44405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0.12825</cdr:x>
      <cdr:y>0.38955</cdr:y>
    </cdr:from>
    <cdr:to>
      <cdr:x>0.8585</cdr:x>
      <cdr:y>0.3903</cdr:y>
    </cdr:to>
    <cdr:sp macro="" textlink="">
      <cdr:nvSpPr>
        <cdr:cNvPr id="2059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171741" y="2199555"/>
          <a:ext cx="6671841" cy="42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0.12825</cdr:x>
      <cdr:y>0.65195</cdr:y>
    </cdr:from>
    <cdr:to>
      <cdr:x>0.85275</cdr:x>
      <cdr:y>0.65195</cdr:y>
    </cdr:to>
    <cdr:sp macro="" textlink="">
      <cdr:nvSpPr>
        <cdr:cNvPr id="206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171741" y="3681192"/>
          <a:ext cx="661930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3"/>
  <sheetViews>
    <sheetView tabSelected="1" workbookViewId="0">
      <selection activeCell="N4" sqref="N4"/>
    </sheetView>
  </sheetViews>
  <sheetFormatPr baseColWidth="10" defaultRowHeight="13.2" x14ac:dyDescent="0.25"/>
  <cols>
    <col min="2" max="2" width="17.77734375" customWidth="1"/>
    <col min="3" max="3" width="10.44140625" customWidth="1"/>
    <col min="4" max="4" width="12.21875" customWidth="1"/>
    <col min="5" max="5" width="10" customWidth="1"/>
    <col min="6" max="6" width="10.6640625" customWidth="1"/>
    <col min="7" max="8" width="10.44140625" customWidth="1"/>
    <col min="9" max="9" width="10.33203125" customWidth="1"/>
    <col min="10" max="10" width="10.6640625" style="2" customWidth="1"/>
    <col min="11" max="11" width="11.5546875" style="2"/>
  </cols>
  <sheetData>
    <row r="1" spans="2:14" ht="22.8" x14ac:dyDescent="0.4">
      <c r="F1" s="7" t="s">
        <v>37</v>
      </c>
    </row>
    <row r="2" spans="2:14" ht="22.8" x14ac:dyDescent="0.4">
      <c r="F2" s="7"/>
    </row>
    <row r="3" spans="2:14" x14ac:dyDescent="0.25">
      <c r="B3" t="s">
        <v>26</v>
      </c>
      <c r="F3" s="5">
        <v>45274</v>
      </c>
    </row>
    <row r="4" spans="2:14" ht="26.4" x14ac:dyDescent="0.25">
      <c r="B4" t="s">
        <v>0</v>
      </c>
      <c r="C4" s="6">
        <v>2443</v>
      </c>
      <c r="D4" s="6" t="s">
        <v>27</v>
      </c>
      <c r="E4" s="12">
        <v>-1</v>
      </c>
      <c r="F4" s="6" t="s">
        <v>35</v>
      </c>
      <c r="G4" s="6"/>
      <c r="H4" s="6"/>
      <c r="J4" s="23" t="s">
        <v>36</v>
      </c>
      <c r="K4" s="2">
        <f>C46</f>
        <v>12.85</v>
      </c>
    </row>
    <row r="5" spans="2:14" x14ac:dyDescent="0.25">
      <c r="B5" t="s">
        <v>1</v>
      </c>
      <c r="C5" s="6">
        <v>300</v>
      </c>
      <c r="D5" s="6"/>
      <c r="E5" s="6"/>
      <c r="F5" s="6" t="s">
        <v>28</v>
      </c>
      <c r="G5" s="6">
        <f>C4/2</f>
        <v>1221.5</v>
      </c>
      <c r="H5" s="6"/>
    </row>
    <row r="6" spans="2:14" x14ac:dyDescent="0.25">
      <c r="B6" t="s">
        <v>30</v>
      </c>
      <c r="C6" s="6">
        <v>295</v>
      </c>
      <c r="D6" s="6"/>
      <c r="E6" s="6"/>
      <c r="F6" s="6"/>
      <c r="G6" s="6"/>
      <c r="H6" s="6"/>
    </row>
    <row r="7" spans="2:14" x14ac:dyDescent="0.25">
      <c r="B7" t="s">
        <v>34</v>
      </c>
      <c r="C7" s="6">
        <v>0</v>
      </c>
      <c r="D7" s="6"/>
      <c r="E7" s="6"/>
      <c r="F7" s="6"/>
      <c r="G7" s="6"/>
      <c r="H7" s="6"/>
    </row>
    <row r="8" spans="2:14" ht="13.8" thickBot="1" x14ac:dyDescent="0.3">
      <c r="B8" t="s">
        <v>2</v>
      </c>
      <c r="C8" s="6">
        <f>1.22*0.56*C4/2/C6</f>
        <v>2.8289111864406782</v>
      </c>
      <c r="D8" s="6"/>
      <c r="E8" s="6"/>
      <c r="F8" s="6" t="s">
        <v>29</v>
      </c>
      <c r="G8" s="6">
        <f>G5/C6</f>
        <v>4.1406779661016948</v>
      </c>
      <c r="H8" s="6"/>
    </row>
    <row r="9" spans="2:14" s="6" customFormat="1" x14ac:dyDescent="0.25">
      <c r="B9" s="8" t="s">
        <v>3</v>
      </c>
      <c r="C9" s="8">
        <v>0</v>
      </c>
      <c r="D9" s="9"/>
      <c r="E9" s="9">
        <v>1</v>
      </c>
      <c r="F9" s="9">
        <v>2</v>
      </c>
      <c r="G9" s="9">
        <v>3</v>
      </c>
      <c r="H9" s="9">
        <v>4</v>
      </c>
      <c r="I9" s="9">
        <v>5</v>
      </c>
      <c r="J9" s="9">
        <v>6</v>
      </c>
      <c r="K9" s="9">
        <v>7</v>
      </c>
      <c r="L9" s="26">
        <v>8</v>
      </c>
    </row>
    <row r="10" spans="2:14" s="2" customFormat="1" x14ac:dyDescent="0.25">
      <c r="B10" s="17" t="s">
        <v>4</v>
      </c>
      <c r="C10" s="14">
        <v>0</v>
      </c>
      <c r="D10" s="22">
        <v>20.93</v>
      </c>
      <c r="E10" s="27">
        <v>55.8688</v>
      </c>
      <c r="F10" s="27">
        <v>76.187700000000007</v>
      </c>
      <c r="G10" s="27">
        <v>92.129300000000001</v>
      </c>
      <c r="H10" s="27">
        <v>105.6931</v>
      </c>
      <c r="I10" s="27">
        <v>117.7042</v>
      </c>
      <c r="J10" s="27">
        <v>128.59829999999999</v>
      </c>
      <c r="K10" s="27">
        <v>138.63900000000001</v>
      </c>
      <c r="L10" s="28">
        <v>148</v>
      </c>
      <c r="N10" s="22"/>
    </row>
    <row r="11" spans="2:14" x14ac:dyDescent="0.25">
      <c r="B11" s="17" t="s">
        <v>5</v>
      </c>
      <c r="C11" s="14"/>
      <c r="D11" s="2"/>
      <c r="E11" s="22">
        <f>(E10+D10)/2</f>
        <v>38.3994</v>
      </c>
      <c r="F11" s="22">
        <f t="shared" ref="F11:L11" si="0">(F10+E10)/2</f>
        <v>66.02825</v>
      </c>
      <c r="G11" s="22">
        <f t="shared" si="0"/>
        <v>84.158500000000004</v>
      </c>
      <c r="H11" s="22">
        <f t="shared" si="0"/>
        <v>98.911200000000008</v>
      </c>
      <c r="I11" s="22">
        <f t="shared" si="0"/>
        <v>111.69865</v>
      </c>
      <c r="J11" s="22">
        <f t="shared" si="0"/>
        <v>123.15125</v>
      </c>
      <c r="K11" s="22">
        <f t="shared" si="0"/>
        <v>133.61865</v>
      </c>
      <c r="L11" s="29">
        <f t="shared" si="0"/>
        <v>143.31950000000001</v>
      </c>
    </row>
    <row r="12" spans="2:14" x14ac:dyDescent="0.25">
      <c r="B12" s="17" t="s">
        <v>33</v>
      </c>
      <c r="C12" s="14"/>
      <c r="D12" s="2"/>
      <c r="E12" s="2">
        <f t="shared" ref="E12:K12" si="1">-$E4*E11*E11/$C$4*(1+E11*E11/$C$4/$C$4/2)</f>
        <v>0.6036414518450065</v>
      </c>
      <c r="F12" s="2">
        <f t="shared" si="1"/>
        <v>1.7852321578295143</v>
      </c>
      <c r="G12" s="2">
        <f t="shared" si="1"/>
        <v>2.9008823957527188</v>
      </c>
      <c r="H12" s="2">
        <f t="shared" si="1"/>
        <v>4.0079591500939706</v>
      </c>
      <c r="I12" s="2">
        <f t="shared" si="1"/>
        <v>5.112414870283601</v>
      </c>
      <c r="J12" s="2">
        <f t="shared" si="1"/>
        <v>6.2159231387875105</v>
      </c>
      <c r="K12" s="2">
        <f t="shared" si="1"/>
        <v>7.319135716099912</v>
      </c>
      <c r="L12" s="30">
        <f>-$E4*L11*L11/$C$4*(1+L11*L11/$C$4/$C$4/2)</f>
        <v>8.4223599674537493</v>
      </c>
    </row>
    <row r="13" spans="2:14" x14ac:dyDescent="0.25">
      <c r="B13" s="17" t="s">
        <v>6</v>
      </c>
      <c r="C13" s="14"/>
      <c r="D13" s="2"/>
      <c r="E13" s="2">
        <f t="shared" ref="E13:K13" si="2">E11/$C$4/2</f>
        <v>7.8590667212443711E-3</v>
      </c>
      <c r="F13" s="2">
        <f t="shared" si="2"/>
        <v>1.351376381498158E-2</v>
      </c>
      <c r="G13" s="2">
        <f t="shared" si="2"/>
        <v>1.7224416700777734E-2</v>
      </c>
      <c r="H13" s="2">
        <f t="shared" si="2"/>
        <v>2.0243798608268523E-2</v>
      </c>
      <c r="I13" s="2">
        <f t="shared" si="2"/>
        <v>2.286095988538682E-2</v>
      </c>
      <c r="J13" s="2">
        <f t="shared" si="2"/>
        <v>2.5204922226770364E-2</v>
      </c>
      <c r="K13" s="2">
        <f t="shared" si="2"/>
        <v>2.7347247237003686E-2</v>
      </c>
      <c r="L13" s="30">
        <f>L11/$C$4/2</f>
        <v>2.933268522308637E-2</v>
      </c>
    </row>
    <row r="14" spans="2:14" x14ac:dyDescent="0.25">
      <c r="B14" s="17"/>
      <c r="C14" s="14"/>
      <c r="D14" s="2"/>
      <c r="E14" s="2"/>
      <c r="F14" s="2"/>
      <c r="G14" s="2"/>
      <c r="H14" s="2"/>
      <c r="I14" s="2"/>
      <c r="L14" s="30"/>
    </row>
    <row r="15" spans="2:14" x14ac:dyDescent="0.25">
      <c r="B15" s="18" t="s">
        <v>7</v>
      </c>
      <c r="C15" s="14"/>
      <c r="D15" s="2"/>
      <c r="E15" s="27">
        <v>36.8825</v>
      </c>
      <c r="F15" s="27">
        <v>38.33</v>
      </c>
      <c r="G15" s="27">
        <v>39.409999999999997</v>
      </c>
      <c r="H15" s="27">
        <v>40.47</v>
      </c>
      <c r="I15" s="27">
        <v>41.542499999999997</v>
      </c>
      <c r="J15" s="27">
        <v>42.685000000000002</v>
      </c>
      <c r="K15" s="27">
        <v>43.74</v>
      </c>
      <c r="L15" s="28">
        <v>45.052500000000002</v>
      </c>
    </row>
    <row r="16" spans="2:14" x14ac:dyDescent="0.25">
      <c r="B16" s="18" t="s">
        <v>7</v>
      </c>
      <c r="C16" s="14"/>
      <c r="D16" s="2"/>
      <c r="E16" s="27">
        <v>36.8825</v>
      </c>
      <c r="F16" s="27">
        <v>38.33</v>
      </c>
      <c r="G16" s="27">
        <v>39.409999999999997</v>
      </c>
      <c r="H16" s="27">
        <v>40.47</v>
      </c>
      <c r="I16" s="27">
        <v>41.542499999999997</v>
      </c>
      <c r="J16" s="27">
        <v>42.685000000000002</v>
      </c>
      <c r="K16" s="27">
        <v>43.74</v>
      </c>
      <c r="L16" s="28">
        <v>45.052500000000002</v>
      </c>
    </row>
    <row r="17" spans="2:21" x14ac:dyDescent="0.25">
      <c r="B17" s="18" t="s">
        <v>7</v>
      </c>
      <c r="C17" s="14"/>
      <c r="D17" s="2"/>
      <c r="E17" s="27">
        <v>36.8825</v>
      </c>
      <c r="F17" s="27">
        <v>38.33</v>
      </c>
      <c r="G17" s="27">
        <v>39.409999999999997</v>
      </c>
      <c r="H17" s="27">
        <v>40.47</v>
      </c>
      <c r="I17" s="27">
        <v>41.542499999999997</v>
      </c>
      <c r="J17" s="27">
        <v>42.685000000000002</v>
      </c>
      <c r="K17" s="27">
        <v>43.74</v>
      </c>
      <c r="L17" s="28">
        <v>45.052500000000002</v>
      </c>
    </row>
    <row r="18" spans="2:21" x14ac:dyDescent="0.25">
      <c r="B18" s="18" t="s">
        <v>7</v>
      </c>
      <c r="C18" s="14"/>
      <c r="D18" s="2"/>
      <c r="E18" s="27">
        <v>36.8825</v>
      </c>
      <c r="F18" s="27">
        <v>38.33</v>
      </c>
      <c r="G18" s="27">
        <v>39.409999999999997</v>
      </c>
      <c r="H18" s="27">
        <v>40.47</v>
      </c>
      <c r="I18" s="27">
        <v>41.542499999999997</v>
      </c>
      <c r="J18" s="27">
        <v>42.685000000000002</v>
      </c>
      <c r="K18" s="27">
        <v>43.74</v>
      </c>
      <c r="L18" s="28">
        <v>45.052500000000002</v>
      </c>
      <c r="N18" s="20"/>
      <c r="O18" s="20"/>
      <c r="P18" s="20"/>
      <c r="Q18" s="20"/>
      <c r="R18" s="20"/>
      <c r="S18" s="20"/>
      <c r="T18" s="20"/>
      <c r="U18" s="20"/>
    </row>
    <row r="19" spans="2:21" x14ac:dyDescent="0.25">
      <c r="B19" s="18" t="s">
        <v>8</v>
      </c>
      <c r="C19" s="14"/>
      <c r="D19" s="2"/>
      <c r="E19" s="27">
        <v>36.8825</v>
      </c>
      <c r="F19" s="27">
        <v>38.33</v>
      </c>
      <c r="G19" s="27">
        <v>39.409999999999997</v>
      </c>
      <c r="H19" s="27">
        <v>40.47</v>
      </c>
      <c r="I19" s="27">
        <v>41.542499999999997</v>
      </c>
      <c r="J19" s="27">
        <v>42.685000000000002</v>
      </c>
      <c r="K19" s="27">
        <v>43.74</v>
      </c>
      <c r="L19" s="28">
        <v>45.052500000000002</v>
      </c>
      <c r="M19" s="2"/>
      <c r="N19" s="20"/>
      <c r="O19" s="20"/>
      <c r="P19" s="20"/>
      <c r="Q19" s="20"/>
      <c r="R19" s="20"/>
      <c r="S19" s="20"/>
      <c r="T19" s="20"/>
      <c r="U19" s="20"/>
    </row>
    <row r="20" spans="2:21" x14ac:dyDescent="0.25">
      <c r="B20" s="18" t="s">
        <v>8</v>
      </c>
      <c r="C20" s="14"/>
      <c r="D20" s="2"/>
      <c r="E20" s="27">
        <v>36.8825</v>
      </c>
      <c r="F20" s="27">
        <v>38.33</v>
      </c>
      <c r="G20" s="27">
        <v>39.409999999999997</v>
      </c>
      <c r="H20" s="27">
        <v>40.47</v>
      </c>
      <c r="I20" s="27">
        <v>41.542499999999997</v>
      </c>
      <c r="J20" s="27">
        <v>42.685000000000002</v>
      </c>
      <c r="K20" s="27">
        <v>43.74</v>
      </c>
      <c r="L20" s="28">
        <v>45.052500000000002</v>
      </c>
      <c r="M20" s="2"/>
      <c r="N20" s="2"/>
      <c r="O20" s="2"/>
    </row>
    <row r="21" spans="2:21" x14ac:dyDescent="0.25">
      <c r="B21" s="18" t="s">
        <v>8</v>
      </c>
      <c r="C21" s="14"/>
      <c r="D21" s="2"/>
      <c r="E21" s="27">
        <v>36.8825</v>
      </c>
      <c r="F21" s="27">
        <v>38.33</v>
      </c>
      <c r="G21" s="27">
        <v>39.409999999999997</v>
      </c>
      <c r="H21" s="27">
        <v>40.47</v>
      </c>
      <c r="I21" s="27">
        <v>41.542499999999997</v>
      </c>
      <c r="J21" s="27">
        <v>42.685000000000002</v>
      </c>
      <c r="K21" s="27">
        <v>43.74</v>
      </c>
      <c r="L21" s="28">
        <v>45.052500000000002</v>
      </c>
    </row>
    <row r="22" spans="2:21" x14ac:dyDescent="0.25">
      <c r="B22" s="18" t="s">
        <v>8</v>
      </c>
      <c r="C22" s="14"/>
      <c r="D22" s="2"/>
      <c r="E22" s="27">
        <v>36.8825</v>
      </c>
      <c r="F22" s="27">
        <v>38.33</v>
      </c>
      <c r="G22" s="27">
        <v>39.409999999999997</v>
      </c>
      <c r="H22" s="27">
        <v>40.47</v>
      </c>
      <c r="I22" s="27">
        <v>41.542499999999997</v>
      </c>
      <c r="J22" s="27">
        <v>42.685000000000002</v>
      </c>
      <c r="K22" s="27">
        <v>43.74</v>
      </c>
      <c r="L22" s="28">
        <v>45.052500000000002</v>
      </c>
    </row>
    <row r="23" spans="2:21" x14ac:dyDescent="0.25">
      <c r="B23" s="17"/>
      <c r="C23" s="14"/>
      <c r="D23" s="2"/>
      <c r="E23" s="2"/>
      <c r="F23" s="2"/>
      <c r="G23" s="2"/>
      <c r="H23" s="2"/>
      <c r="I23" s="2"/>
      <c r="L23" s="30"/>
    </row>
    <row r="24" spans="2:21" x14ac:dyDescent="0.25">
      <c r="B24" s="18" t="s">
        <v>9</v>
      </c>
      <c r="C24" s="14"/>
      <c r="D24" s="2"/>
      <c r="E24" s="2">
        <v>36.53</v>
      </c>
      <c r="F24" s="2">
        <f t="shared" ref="F24:L24" si="3">E24</f>
        <v>36.53</v>
      </c>
      <c r="G24" s="2">
        <f t="shared" si="3"/>
        <v>36.53</v>
      </c>
      <c r="H24" s="2">
        <f t="shared" si="3"/>
        <v>36.53</v>
      </c>
      <c r="I24" s="2">
        <f t="shared" si="3"/>
        <v>36.53</v>
      </c>
      <c r="J24" s="2">
        <f t="shared" si="3"/>
        <v>36.53</v>
      </c>
      <c r="K24" s="2">
        <f t="shared" si="3"/>
        <v>36.53</v>
      </c>
      <c r="L24" s="30">
        <f t="shared" si="3"/>
        <v>36.53</v>
      </c>
    </row>
    <row r="25" spans="2:21" x14ac:dyDescent="0.25">
      <c r="B25" s="17"/>
      <c r="C25" s="14"/>
      <c r="D25" s="2"/>
      <c r="E25" s="21"/>
      <c r="F25" s="2"/>
      <c r="G25" s="2"/>
      <c r="H25" s="2"/>
      <c r="I25" s="2"/>
      <c r="L25" s="30"/>
    </row>
    <row r="26" spans="2:21" x14ac:dyDescent="0.25">
      <c r="B26" s="17" t="s">
        <v>10</v>
      </c>
      <c r="C26" s="14"/>
      <c r="D26" s="2"/>
      <c r="E26" s="2">
        <f t="shared" ref="E26:K26" si="4">(E15+E16+E17+E18+E19+E20+E21+E22)/8-E24</f>
        <v>0.35249999999999915</v>
      </c>
      <c r="F26" s="2">
        <f t="shared" si="4"/>
        <v>1.7999999999999901</v>
      </c>
      <c r="G26" s="2">
        <f t="shared" si="4"/>
        <v>2.8799999999999955</v>
      </c>
      <c r="H26" s="2">
        <f t="shared" si="4"/>
        <v>3.9399999999999977</v>
      </c>
      <c r="I26" s="2">
        <f t="shared" si="4"/>
        <v>5.0124999999999957</v>
      </c>
      <c r="J26" s="2">
        <f t="shared" si="4"/>
        <v>6.1550000000000011</v>
      </c>
      <c r="K26" s="2">
        <f t="shared" si="4"/>
        <v>7.2100000000000009</v>
      </c>
      <c r="L26" s="30">
        <f>(L15+L16+L17+L18+L19+L20+L21+L22)/8-L24</f>
        <v>8.5225000000000009</v>
      </c>
    </row>
    <row r="27" spans="2:21" x14ac:dyDescent="0.25">
      <c r="B27" s="17" t="s">
        <v>11</v>
      </c>
      <c r="C27" s="14"/>
      <c r="D27" s="2"/>
      <c r="E27" s="2">
        <f t="shared" ref="E27:K27" si="5">E26-E12</f>
        <v>-0.25114145184500736</v>
      </c>
      <c r="F27" s="2">
        <f t="shared" si="5"/>
        <v>1.4767842170475776E-2</v>
      </c>
      <c r="G27" s="2">
        <f t="shared" si="5"/>
        <v>-2.0882395752723326E-2</v>
      </c>
      <c r="H27" s="2">
        <f t="shared" si="5"/>
        <v>-6.7959150093972909E-2</v>
      </c>
      <c r="I27" s="2">
        <f t="shared" si="5"/>
        <v>-9.9914870283605239E-2</v>
      </c>
      <c r="J27" s="2">
        <f t="shared" si="5"/>
        <v>-6.0923138787509323E-2</v>
      </c>
      <c r="K27" s="2">
        <f t="shared" si="5"/>
        <v>-0.10913571609991113</v>
      </c>
      <c r="L27" s="30">
        <f>L26-L12</f>
        <v>0.10014003254625159</v>
      </c>
    </row>
    <row r="28" spans="2:21" x14ac:dyDescent="0.25">
      <c r="B28" s="17" t="s">
        <v>12</v>
      </c>
      <c r="C28" s="14"/>
      <c r="D28" s="2"/>
      <c r="E28" s="2">
        <f t="shared" ref="E28:K28" si="6">E27*E13*1000</f>
        <v>-1.9737374265200933</v>
      </c>
      <c r="F28" s="2">
        <f t="shared" si="6"/>
        <v>0.19956913114873459</v>
      </c>
      <c r="G28" s="2">
        <f t="shared" si="6"/>
        <v>-0.35968708615545769</v>
      </c>
      <c r="H28" s="2">
        <f t="shared" si="6"/>
        <v>-1.3757513480914805</v>
      </c>
      <c r="I28" s="2">
        <f t="shared" si="6"/>
        <v>-2.2841498415071273</v>
      </c>
      <c r="J28" s="2">
        <f t="shared" si="6"/>
        <v>-1.5355629749499096</v>
      </c>
      <c r="K28" s="2">
        <f t="shared" si="6"/>
        <v>-2.9845614105717129</v>
      </c>
      <c r="L28" s="30">
        <f>L27*L13*1000</f>
        <v>2.9373760529088222</v>
      </c>
    </row>
    <row r="29" spans="2:21" x14ac:dyDescent="0.25">
      <c r="B29" s="18" t="s">
        <v>13</v>
      </c>
      <c r="C29" s="15"/>
      <c r="D29" s="4"/>
      <c r="E29" s="4">
        <f t="shared" ref="E29:K29" si="7">E28/$C$8</f>
        <v>-0.69770215338695019</v>
      </c>
      <c r="F29" s="4">
        <f t="shared" si="7"/>
        <v>7.0546269570177442E-2</v>
      </c>
      <c r="G29" s="4">
        <f t="shared" si="7"/>
        <v>-0.12714682874438846</v>
      </c>
      <c r="H29" s="4">
        <f t="shared" si="7"/>
        <v>-0.48631832440891998</v>
      </c>
      <c r="I29" s="4">
        <f t="shared" si="7"/>
        <v>-0.80743073605680538</v>
      </c>
      <c r="J29" s="4">
        <f t="shared" si="7"/>
        <v>-0.54281059875971116</v>
      </c>
      <c r="K29" s="4">
        <f t="shared" si="7"/>
        <v>-1.0550212480607681</v>
      </c>
      <c r="L29" s="31">
        <f>L28/$C$8</f>
        <v>1.038341559462181</v>
      </c>
      <c r="M29" s="6"/>
    </row>
    <row r="30" spans="2:21" x14ac:dyDescent="0.25">
      <c r="B30" s="17" t="s">
        <v>14</v>
      </c>
      <c r="C30" s="14"/>
      <c r="D30" s="2"/>
      <c r="E30" s="2">
        <f t="shared" ref="E30:K30" si="8">-2000*E28/$C$4</f>
        <v>1.6158308854032692</v>
      </c>
      <c r="F30" s="2">
        <f t="shared" si="8"/>
        <v>-0.16338037752659401</v>
      </c>
      <c r="G30" s="2">
        <f t="shared" si="8"/>
        <v>0.29446343524802104</v>
      </c>
      <c r="H30" s="2">
        <f t="shared" si="8"/>
        <v>1.1262802685972004</v>
      </c>
      <c r="I30" s="2">
        <f t="shared" si="8"/>
        <v>1.8699548436407101</v>
      </c>
      <c r="J30" s="2">
        <f t="shared" si="8"/>
        <v>1.2571125460089314</v>
      </c>
      <c r="K30" s="2">
        <f t="shared" si="8"/>
        <v>2.4433576836444639</v>
      </c>
      <c r="L30" s="30">
        <f>-2000*L28/$C$4</f>
        <v>-2.4047286556764815</v>
      </c>
    </row>
    <row r="31" spans="2:21" ht="13.8" thickBot="1" x14ac:dyDescent="0.3">
      <c r="B31" s="19" t="s">
        <v>15</v>
      </c>
      <c r="C31" s="16">
        <v>0</v>
      </c>
      <c r="D31" s="3">
        <v>0</v>
      </c>
      <c r="E31" s="3">
        <f t="shared" ref="E31:L31" si="9">D31+E30*(E10-D10)</f>
        <v>56.455192138927742</v>
      </c>
      <c r="F31" s="3">
        <f t="shared" si="9"/>
        <v>53.135482586002631</v>
      </c>
      <c r="G31" s="3">
        <f t="shared" si="9"/>
        <v>57.82970088535248</v>
      </c>
      <c r="H31" s="3">
        <f t="shared" si="9"/>
        <v>73.106341192551184</v>
      </c>
      <c r="I31" s="3">
        <f t="shared" si="9"/>
        <v>95.566555815004108</v>
      </c>
      <c r="J31" s="3">
        <f t="shared" si="9"/>
        <v>109.26166560248001</v>
      </c>
      <c r="K31" s="3">
        <f t="shared" si="9"/>
        <v>133.794687096649</v>
      </c>
      <c r="L31" s="32">
        <f t="shared" si="9"/>
        <v>111.28402215086149</v>
      </c>
    </row>
    <row r="32" spans="2:21" x14ac:dyDescent="0.25">
      <c r="B32" s="11"/>
      <c r="C32" s="2"/>
      <c r="D32" s="2"/>
      <c r="E32" s="2"/>
      <c r="F32" s="2"/>
      <c r="G32" s="2"/>
      <c r="H32" s="2"/>
      <c r="I32" s="2"/>
    </row>
    <row r="33" spans="2:14" ht="26.4" x14ac:dyDescent="0.25">
      <c r="B33" s="1" t="s">
        <v>16</v>
      </c>
      <c r="C33">
        <v>0</v>
      </c>
      <c r="D33">
        <v>0</v>
      </c>
      <c r="E33">
        <v>1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</row>
    <row r="34" spans="2:14" ht="26.4" x14ac:dyDescent="0.25">
      <c r="B34" s="1" t="s">
        <v>17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</v>
      </c>
      <c r="L34">
        <v>0</v>
      </c>
    </row>
    <row r="36" spans="2:14" x14ac:dyDescent="0.25">
      <c r="B36" t="s">
        <v>18</v>
      </c>
      <c r="C36" s="6">
        <f>C33*C10*C10+D33*D10*D10+E33*E10*E10+F33*F10*F10+G33*G10*G10+H33*H10*H10+I33*I10*I10+J33*J10*J10+K33*K10*K10+L33*L10*L10</f>
        <v>3121.3228134400001</v>
      </c>
      <c r="D36" s="6"/>
      <c r="E36" s="6"/>
      <c r="F36" s="6"/>
      <c r="G36" s="6"/>
      <c r="H36" s="6"/>
      <c r="I36" s="6"/>
    </row>
    <row r="37" spans="2:14" x14ac:dyDescent="0.25">
      <c r="B37" t="s">
        <v>19</v>
      </c>
      <c r="C37" s="6">
        <f>C34*C10*C10+D34*D10*D10+E34*E10*E10+F34*F10*F10+G34*G10*G10+H34*H10*H10+I34*I10*I10+J34*J10*J10+K34*K10*K10+L34*L10*L10</f>
        <v>19220.772321000004</v>
      </c>
      <c r="D37" s="6"/>
      <c r="E37" s="6"/>
      <c r="F37" s="6"/>
      <c r="G37" s="6"/>
      <c r="H37" s="6"/>
      <c r="I37" s="6"/>
    </row>
    <row r="38" spans="2:14" x14ac:dyDescent="0.25">
      <c r="B38" t="s">
        <v>20</v>
      </c>
      <c r="C38" s="6">
        <f>C33*C31+D33*D31+E33*E31+F33*F31+G33*G31+H33*H31+I33*I31+J33*J31+K33*K31+L33*L31</f>
        <v>56.455192138927742</v>
      </c>
      <c r="D38" s="6"/>
      <c r="E38" s="6"/>
      <c r="F38" s="6"/>
      <c r="G38" s="6"/>
      <c r="H38" s="6"/>
      <c r="I38" s="6"/>
    </row>
    <row r="39" spans="2:14" x14ac:dyDescent="0.25">
      <c r="B39" t="s">
        <v>21</v>
      </c>
      <c r="C39" s="6">
        <f>C34*C31+D34*C31+E34*E31+F34*F31+G34*G31+H34*H31+I34*I31+J34*J31+K34*K31+L34*L31</f>
        <v>133.794687096649</v>
      </c>
      <c r="D39" s="6"/>
      <c r="E39" s="6"/>
      <c r="F39" s="6"/>
      <c r="G39" s="6"/>
      <c r="H39" s="6"/>
      <c r="I39" s="6"/>
    </row>
    <row r="40" spans="2:14" x14ac:dyDescent="0.25">
      <c r="B40" t="s">
        <v>22</v>
      </c>
      <c r="C40" s="6">
        <f>(C39-C38)/(C37-C36)</f>
        <v>4.8038595929260847E-3</v>
      </c>
      <c r="D40" s="6"/>
      <c r="E40" s="6"/>
      <c r="F40" s="6"/>
      <c r="G40" s="6"/>
      <c r="H40" s="6"/>
      <c r="I40" s="6"/>
    </row>
    <row r="41" spans="2:14" x14ac:dyDescent="0.25">
      <c r="B41" t="s">
        <v>23</v>
      </c>
      <c r="C41" s="6">
        <f>C38-C40*C36</f>
        <v>41.460795598964964</v>
      </c>
      <c r="D41" s="6"/>
      <c r="E41" s="6"/>
      <c r="F41" s="6"/>
      <c r="G41" s="6"/>
      <c r="H41" s="6"/>
      <c r="I41" s="6"/>
    </row>
    <row r="42" spans="2:14" x14ac:dyDescent="0.25">
      <c r="B42" t="s">
        <v>24</v>
      </c>
      <c r="C42" s="6">
        <f t="shared" ref="C42:L42" si="10">$C$40*C10*C10+$C$41</f>
        <v>41.460795598964964</v>
      </c>
      <c r="D42" s="6">
        <f t="shared" si="10"/>
        <v>43.565197871154169</v>
      </c>
      <c r="E42" s="6">
        <f t="shared" si="10"/>
        <v>56.455192138927742</v>
      </c>
      <c r="F42" s="6">
        <f t="shared" si="10"/>
        <v>69.345113889606495</v>
      </c>
      <c r="G42" s="6">
        <f t="shared" si="10"/>
        <v>82.235033091117131</v>
      </c>
      <c r="H42" s="6">
        <f t="shared" si="10"/>
        <v>95.124861893213648</v>
      </c>
      <c r="I42" s="6">
        <f t="shared" si="10"/>
        <v>108.01480522369438</v>
      </c>
      <c r="J42" s="6">
        <f t="shared" si="10"/>
        <v>120.90473296670757</v>
      </c>
      <c r="K42" s="6">
        <f t="shared" si="10"/>
        <v>133.794687096649</v>
      </c>
      <c r="L42" s="6">
        <f t="shared" si="10"/>
        <v>146.68453612241791</v>
      </c>
    </row>
    <row r="43" spans="2:14" x14ac:dyDescent="0.25">
      <c r="B43" t="s">
        <v>25</v>
      </c>
      <c r="C43" s="6">
        <v>0</v>
      </c>
      <c r="D43" s="6">
        <f t="shared" ref="D43:L43" si="11">ABS(D42-D31)</f>
        <v>43.565197871154169</v>
      </c>
      <c r="E43" s="6">
        <f t="shared" si="11"/>
        <v>0</v>
      </c>
      <c r="F43" s="6">
        <f t="shared" si="11"/>
        <v>16.209631303603864</v>
      </c>
      <c r="G43" s="6">
        <f t="shared" si="11"/>
        <v>24.405332205764651</v>
      </c>
      <c r="H43" s="6">
        <f t="shared" si="11"/>
        <v>22.018520700662464</v>
      </c>
      <c r="I43" s="6">
        <f t="shared" si="11"/>
        <v>12.448249408690273</v>
      </c>
      <c r="J43" s="6">
        <f t="shared" si="11"/>
        <v>11.643067364227562</v>
      </c>
      <c r="K43" s="6">
        <f t="shared" si="11"/>
        <v>0</v>
      </c>
      <c r="L43" s="6">
        <f t="shared" si="11"/>
        <v>35.400513971556421</v>
      </c>
      <c r="M43" s="25"/>
      <c r="N43" s="6">
        <f>AVERAGE(D43:L43)/C45</f>
        <v>3.3472830873870589E-2</v>
      </c>
    </row>
    <row r="45" spans="2:14" x14ac:dyDescent="0.25">
      <c r="B45" s="24" t="s">
        <v>38</v>
      </c>
      <c r="C45">
        <v>550</v>
      </c>
      <c r="D45">
        <v>0</v>
      </c>
      <c r="E45">
        <f>E43/$C$45-$N43</f>
        <v>-3.3472830873870589E-2</v>
      </c>
      <c r="F45">
        <f t="shared" ref="F45:L45" si="12">F43/$C$45-$N43</f>
        <v>-4.0007739582272016E-3</v>
      </c>
      <c r="G45">
        <f t="shared" si="12"/>
        <v>1.090050040933787E-2</v>
      </c>
      <c r="H45">
        <f t="shared" si="12"/>
        <v>6.5608431273338902E-3</v>
      </c>
      <c r="I45">
        <f t="shared" si="12"/>
        <v>-1.0839650130797365E-2</v>
      </c>
      <c r="J45">
        <f t="shared" si="12"/>
        <v>-1.2303617484365932E-2</v>
      </c>
      <c r="K45">
        <f t="shared" si="12"/>
        <v>-3.3472830873870589E-2</v>
      </c>
      <c r="L45">
        <f t="shared" si="12"/>
        <v>3.0891739983504717E-2</v>
      </c>
      <c r="M45">
        <f>SUMSQ(D45:L45)/9</f>
        <v>4.0465657719665894E-4</v>
      </c>
      <c r="N45">
        <f>SQRT(M45)</f>
        <v>2.011607757980315E-2</v>
      </c>
    </row>
    <row r="46" spans="2:14" ht="17.399999999999999" x14ac:dyDescent="0.3">
      <c r="B46" s="10" t="s">
        <v>31</v>
      </c>
      <c r="C46" s="13">
        <f>ROUND((560/MAX(D43:L43)),2)</f>
        <v>12.85</v>
      </c>
      <c r="H46" s="6"/>
    </row>
    <row r="47" spans="2:14" x14ac:dyDescent="0.25">
      <c r="B47" s="12" t="s">
        <v>32</v>
      </c>
      <c r="N47" s="24">
        <f>EXP(-((2*PI()*N45)^2))</f>
        <v>0.98415172539579543</v>
      </c>
    </row>
    <row r="51" spans="2:9" x14ac:dyDescent="0.25">
      <c r="C51" s="2"/>
      <c r="D51" s="2"/>
      <c r="E51" s="2"/>
      <c r="F51" s="2"/>
      <c r="G51" s="2"/>
      <c r="H51" s="2"/>
      <c r="I51" s="2"/>
    </row>
    <row r="52" spans="2:9" x14ac:dyDescent="0.25">
      <c r="B52" s="2"/>
      <c r="C52" s="2"/>
      <c r="D52" s="2"/>
      <c r="E52" s="2"/>
      <c r="F52" s="2"/>
      <c r="G52" s="2"/>
      <c r="H52" s="2"/>
      <c r="I52" s="2"/>
    </row>
    <row r="53" spans="2:9" x14ac:dyDescent="0.25">
      <c r="B53" s="2"/>
      <c r="C53" s="2"/>
      <c r="D53" s="2"/>
      <c r="E53" s="2"/>
      <c r="F53" s="2"/>
      <c r="G53" s="2"/>
      <c r="H53" s="2"/>
      <c r="I53" s="2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2</vt:i4>
      </vt:variant>
    </vt:vector>
  </HeadingPairs>
  <TitlesOfParts>
    <vt:vector size="3" baseType="lpstr">
      <vt:lpstr>Feuil1</vt:lpstr>
      <vt:lpstr>Graph1</vt:lpstr>
      <vt:lpstr>Graph2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J.Dijon</dc:creator>
  <cp:lastModifiedBy>Jean</cp:lastModifiedBy>
  <cp:lastPrinted>2000-05-06T10:18:12Z</cp:lastPrinted>
  <dcterms:created xsi:type="dcterms:W3CDTF">2000-04-09T15:25:16Z</dcterms:created>
  <dcterms:modified xsi:type="dcterms:W3CDTF">2024-11-26T08:57:03Z</dcterms:modified>
</cp:coreProperties>
</file>